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780"/>
  </bookViews>
  <sheets>
    <sheet name="Weight and Ballance" sheetId="1" r:id="rId1"/>
    <sheet name="Performance charts" sheetId="2" r:id="rId2"/>
    <sheet name="Data" sheetId="3" r:id="rId3"/>
  </sheets>
  <definedNames>
    <definedName name="Aircraft">Data!$A$3:$A$4</definedName>
    <definedName name="AircraftData">Data!$A$3:$C$4</definedName>
    <definedName name="Fuel">Data!$A$7:$A$8</definedName>
    <definedName name="GLHR">Data!$E$3:$F$5</definedName>
    <definedName name="PWR">Data!$E$3:$E$5</definedName>
  </definedNames>
  <calcPr calcId="124519"/>
</workbook>
</file>

<file path=xl/calcChain.xml><?xml version="1.0" encoding="utf-8"?>
<calcChain xmlns="http://schemas.openxmlformats.org/spreadsheetml/2006/main">
  <c r="Q8" i="1"/>
  <c r="P8" s="1"/>
  <c r="E19"/>
  <c r="C16"/>
  <c r="K15"/>
  <c r="K3"/>
  <c r="E17" l="1"/>
  <c r="E18"/>
  <c r="E20"/>
  <c r="E16"/>
  <c r="D11"/>
  <c r="D10"/>
  <c r="B11"/>
  <c r="B10"/>
  <c r="D5"/>
  <c r="B5"/>
  <c r="Q7" l="1"/>
  <c r="P7" s="1"/>
  <c r="Q6"/>
  <c r="Q5"/>
  <c r="P5" s="1"/>
  <c r="C22" s="1"/>
  <c r="P6" l="1"/>
  <c r="E22"/>
  <c r="N6"/>
  <c r="N9" s="1"/>
  <c r="K16"/>
  <c r="P9" l="1"/>
  <c r="P10" s="1"/>
  <c r="N10" s="1"/>
  <c r="E35"/>
  <c r="E36" s="1"/>
  <c r="P11" l="1"/>
  <c r="N11"/>
  <c r="D15"/>
  <c r="C15"/>
  <c r="B8" i="3"/>
  <c r="B7"/>
  <c r="C21" i="1" l="1"/>
  <c r="E15"/>
  <c r="E21" s="1"/>
  <c r="C24" l="1"/>
  <c r="C23"/>
  <c r="A40" s="1"/>
  <c r="E24"/>
  <c r="D21"/>
  <c r="E23"/>
  <c r="D23" l="1"/>
  <c r="D40"/>
  <c r="D24"/>
</calcChain>
</file>

<file path=xl/sharedStrings.xml><?xml version="1.0" encoding="utf-8"?>
<sst xmlns="http://schemas.openxmlformats.org/spreadsheetml/2006/main" count="136" uniqueCount="117">
  <si>
    <t>PERFORMANCE TABEL</t>
  </si>
  <si>
    <t>ELEVATION</t>
  </si>
  <si>
    <t>QNH</t>
  </si>
  <si>
    <t>PRESSURE ALT</t>
  </si>
  <si>
    <t>TAS (kts)</t>
  </si>
  <si>
    <t>W/V</t>
  </si>
  <si>
    <t>HWC</t>
  </si>
  <si>
    <t>MASS AND BALLANCE</t>
  </si>
  <si>
    <t>MASS</t>
  </si>
  <si>
    <t>ARM</t>
  </si>
  <si>
    <t>Empty mass</t>
  </si>
  <si>
    <t>Front seats</t>
  </si>
  <si>
    <t>Rear seats</t>
  </si>
  <si>
    <t>Fuel consumption</t>
  </si>
  <si>
    <t>ZFM</t>
  </si>
  <si>
    <t>Aircraft:</t>
  </si>
  <si>
    <t>Mass:</t>
  </si>
  <si>
    <t>Arm:</t>
  </si>
  <si>
    <t>Fuel:</t>
  </si>
  <si>
    <t>BALANCE</t>
  </si>
  <si>
    <t>TAKE-OFF</t>
  </si>
  <si>
    <t xml:space="preserve">Solid with short grass (5-10 cm)            </t>
  </si>
  <si>
    <t>CORRECTED TAKE - OFF DISTANCE</t>
  </si>
  <si>
    <t>TAKE - OFF DISTANCE REQUIRED (TORA) x 1,25</t>
  </si>
  <si>
    <t>TAKE - OFF DISTANCE AVALIBLE (TODA)</t>
  </si>
  <si>
    <t>PERFORMANCE</t>
  </si>
  <si>
    <t xml:space="preserve">Soft or long grass                                          </t>
  </si>
  <si>
    <t xml:space="preserve">Water or slush (max. 2,5 cm)                   </t>
  </si>
  <si>
    <t xml:space="preserve">Wet snow (max. 5 cm)                               </t>
  </si>
  <si>
    <t xml:space="preserve">Dry snow (max. 10 cm)                              </t>
  </si>
  <si>
    <t xml:space="preserve">Runway upslope                                         </t>
  </si>
  <si>
    <t>LANDING</t>
  </si>
  <si>
    <t>Dry grass (max 20 cm)</t>
  </si>
  <si>
    <t>Wet grass (max 20 cm)</t>
  </si>
  <si>
    <t>Dry solid snow or dry ice</t>
  </si>
  <si>
    <t>Wet solid snow or wet ice</t>
  </si>
  <si>
    <t>BRAKING ACTION</t>
  </si>
  <si>
    <t>MAX WXC</t>
  </si>
  <si>
    <t>FACTOR</t>
  </si>
  <si>
    <t>≥ .40</t>
  </si>
  <si>
    <t>17 kts.</t>
  </si>
  <si>
    <t>.36 - .39</t>
  </si>
  <si>
    <t>14 kts.</t>
  </si>
  <si>
    <t>.30 - .35</t>
  </si>
  <si>
    <t>11 kts.</t>
  </si>
  <si>
    <t>.26 - .29</t>
  </si>
  <si>
    <t>8 kts.</t>
  </si>
  <si>
    <t>≤ .25</t>
  </si>
  <si>
    <t>5 kts.</t>
  </si>
  <si>
    <t>CORRECTED LANDING DISTANCE</t>
  </si>
  <si>
    <t>LANDING DISTANCE REQUIRED  x 1,43</t>
  </si>
  <si>
    <t>LANDING DISTANCE AVAILABLE (LDA)</t>
  </si>
  <si>
    <t>TAKE - OFF DISTANCE - AOM (to 50 ft.)</t>
  </si>
  <si>
    <t>LANDING DISTANCE - AOM (to 50 ft)</t>
  </si>
  <si>
    <t>FLAPLESS LANDING DISTANCE</t>
  </si>
  <si>
    <t>Runway downslope pr. 1%</t>
  </si>
  <si>
    <t>+ 20%</t>
  </si>
  <si>
    <t>+ 30%</t>
  </si>
  <si>
    <t>+ 50%</t>
  </si>
  <si>
    <t>+   5%</t>
  </si>
  <si>
    <t>+ 10%</t>
  </si>
  <si>
    <t xml:space="preserve">+ 20% pr. cm </t>
  </si>
  <si>
    <t xml:space="preserve">+ 10% pr. cm </t>
  </si>
  <si>
    <t xml:space="preserve">+   5% pr. cm </t>
  </si>
  <si>
    <t>+   5% pr. 1%</t>
  </si>
  <si>
    <t>FUEL</t>
  </si>
  <si>
    <t>Taxi</t>
  </si>
  <si>
    <t>Climb</t>
  </si>
  <si>
    <t>Trip</t>
  </si>
  <si>
    <t>10% cont. Fuel</t>
  </si>
  <si>
    <t>Final reserve</t>
  </si>
  <si>
    <t>Alternate 1</t>
  </si>
  <si>
    <t>Min Block</t>
  </si>
  <si>
    <t>Extra</t>
  </si>
  <si>
    <t>Endurance</t>
  </si>
  <si>
    <t>% PWR</t>
  </si>
  <si>
    <t>TIME</t>
  </si>
  <si>
    <t>GALLON</t>
  </si>
  <si>
    <t>GL/HR</t>
  </si>
  <si>
    <t>Total usable fuel quantity:</t>
  </si>
  <si>
    <t>% PWR:</t>
  </si>
  <si>
    <t>Local</t>
  </si>
  <si>
    <t>EXPECTED RWY</t>
  </si>
  <si>
    <t>1 USG</t>
  </si>
  <si>
    <t>=</t>
  </si>
  <si>
    <t>6 LBS</t>
  </si>
  <si>
    <t>1 KG</t>
  </si>
  <si>
    <t>2,2 LBS</t>
  </si>
  <si>
    <t>1 M</t>
  </si>
  <si>
    <t>3,28 FT</t>
  </si>
  <si>
    <t>XWIND</t>
  </si>
  <si>
    <t>Head Wind</t>
  </si>
  <si>
    <t>Degrees:</t>
  </si>
  <si>
    <t>SIN ≈</t>
  </si>
  <si>
    <t>COS ≈</t>
  </si>
  <si>
    <t>10°</t>
  </si>
  <si>
    <t>20°</t>
  </si>
  <si>
    <t>30°</t>
  </si>
  <si>
    <t>40°</t>
  </si>
  <si>
    <t>50°</t>
  </si>
  <si>
    <t>60°</t>
  </si>
  <si>
    <t>70°</t>
  </si>
  <si>
    <t>80°</t>
  </si>
  <si>
    <t>90°</t>
  </si>
  <si>
    <t>RUNWAY CONDITIONS</t>
  </si>
  <si>
    <t>DEPARTURE</t>
  </si>
  <si>
    <t>DESTINATION</t>
  </si>
  <si>
    <t>MP/RPM</t>
  </si>
  <si>
    <t>LM MLM 2650 lbs.</t>
  </si>
  <si>
    <t>XWC max. 15 kts</t>
  </si>
  <si>
    <t>OY-JFB</t>
  </si>
  <si>
    <t>OY-JBA</t>
  </si>
  <si>
    <t>Fuel ( -8,4 lbs)</t>
  </si>
  <si>
    <t>Baggage area 1 (max 200 lbs) +5</t>
  </si>
  <si>
    <t>Baggage area 2 (max 50 lbs)</t>
  </si>
  <si>
    <t>TOM (MTOM 2650 lbs.)</t>
  </si>
  <si>
    <t>Full: 62 USG   Filler neck 44 USG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</si>
</sst>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49" fontId="3" fillId="6" borderId="11" xfId="0" applyNumberFormat="1" applyFont="1" applyFill="1" applyBorder="1" applyAlignment="1">
      <alignment horizontal="left" indent="2"/>
    </xf>
    <xf numFmtId="49" fontId="3" fillId="0" borderId="0" xfId="0" applyNumberFormat="1" applyFont="1" applyAlignment="1"/>
    <xf numFmtId="49" fontId="3" fillId="6" borderId="1" xfId="0" applyNumberFormat="1" applyFont="1" applyFill="1" applyBorder="1" applyAlignment="1"/>
    <xf numFmtId="0" fontId="3" fillId="6" borderId="1" xfId="0" applyFont="1" applyFill="1" applyBorder="1" applyAlignment="1"/>
    <xf numFmtId="49" fontId="3" fillId="6" borderId="3" xfId="0" applyNumberFormat="1" applyFont="1" applyFill="1" applyBorder="1" applyAlignment="1"/>
    <xf numFmtId="0" fontId="3" fillId="6" borderId="2" xfId="0" applyFont="1" applyFill="1" applyBorder="1" applyAlignment="1"/>
    <xf numFmtId="49" fontId="3" fillId="6" borderId="3" xfId="0" applyNumberFormat="1" applyFont="1" applyFill="1" applyBorder="1" applyAlignment="1">
      <alignment horizontal="left" indent="2"/>
    </xf>
    <xf numFmtId="0" fontId="3" fillId="0" borderId="12" xfId="0" applyFont="1" applyBorder="1"/>
    <xf numFmtId="0" fontId="3" fillId="0" borderId="15" xfId="0" applyFont="1" applyBorder="1"/>
    <xf numFmtId="0" fontId="3" fillId="0" borderId="18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/>
    <xf numFmtId="9" fontId="3" fillId="0" borderId="1" xfId="0" applyNumberFormat="1" applyFont="1" applyBorder="1" applyAlignment="1">
      <alignment horizontal="center"/>
    </xf>
    <xf numFmtId="49" fontId="3" fillId="6" borderId="3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4" borderId="39" xfId="0" applyFont="1" applyFill="1" applyBorder="1"/>
    <xf numFmtId="0" fontId="3" fillId="2" borderId="11" xfId="0" applyFont="1" applyFill="1" applyBorder="1" applyAlignment="1">
      <alignment horizontal="center"/>
    </xf>
    <xf numFmtId="0" fontId="3" fillId="4" borderId="42" xfId="0" applyFont="1" applyFill="1" applyBorder="1"/>
    <xf numFmtId="0" fontId="3" fillId="4" borderId="43" xfId="0" applyFont="1" applyFill="1" applyBorder="1"/>
    <xf numFmtId="0" fontId="3" fillId="0" borderId="44" xfId="0" applyFont="1" applyBorder="1" applyAlignment="1">
      <alignment horizontal="center"/>
    </xf>
    <xf numFmtId="0" fontId="3" fillId="4" borderId="12" xfId="0" applyFont="1" applyFill="1" applyBorder="1"/>
    <xf numFmtId="0" fontId="3" fillId="4" borderId="15" xfId="0" applyFont="1" applyFill="1" applyBorder="1"/>
    <xf numFmtId="0" fontId="3" fillId="4" borderId="45" xfId="0" applyFont="1" applyFill="1" applyBorder="1"/>
    <xf numFmtId="0" fontId="3" fillId="0" borderId="13" xfId="0" applyFont="1" applyBorder="1"/>
    <xf numFmtId="2" fontId="3" fillId="2" borderId="13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23" xfId="0" applyFont="1" applyBorder="1"/>
    <xf numFmtId="0" fontId="3" fillId="0" borderId="22" xfId="0" applyFont="1" applyBorder="1"/>
    <xf numFmtId="0" fontId="3" fillId="0" borderId="47" xfId="0" applyFont="1" applyBorder="1"/>
    <xf numFmtId="0" fontId="3" fillId="4" borderId="40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1" fontId="0" fillId="2" borderId="7" xfId="0" applyNumberForma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49" xfId="0" applyFill="1" applyBorder="1" applyAlignment="1" applyProtection="1">
      <alignment horizontal="center"/>
    </xf>
    <xf numFmtId="0" fontId="0" fillId="2" borderId="50" xfId="0" applyFill="1" applyBorder="1" applyAlignment="1" applyProtection="1">
      <alignment horizontal="center"/>
    </xf>
    <xf numFmtId="0" fontId="3" fillId="4" borderId="28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164" fontId="3" fillId="3" borderId="1" xfId="0" applyNumberFormat="1" applyFont="1" applyFill="1" applyBorder="1" applyAlignment="1" applyProtection="1">
      <alignment horizontal="center"/>
      <protection locked="0"/>
    </xf>
    <xf numFmtId="164" fontId="3" fillId="3" borderId="23" xfId="0" applyNumberFormat="1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5" borderId="17" xfId="0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5" borderId="18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3" fillId="5" borderId="4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17" xfId="0" applyNumberFormat="1" applyFont="1" applyFill="1" applyBorder="1" applyAlignment="1" applyProtection="1">
      <alignment horizontal="center"/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164" fontId="3" fillId="2" borderId="23" xfId="0" applyNumberFormat="1" applyFont="1" applyFill="1" applyBorder="1" applyAlignment="1" applyProtection="1">
      <alignment horizontal="center"/>
      <protection hidden="1"/>
    </xf>
    <xf numFmtId="1" fontId="3" fillId="2" borderId="24" xfId="0" applyNumberFormat="1" applyFont="1" applyFill="1" applyBorder="1" applyAlignment="1" applyProtection="1">
      <alignment horizontal="center"/>
      <protection hidden="1"/>
    </xf>
    <xf numFmtId="164" fontId="3" fillId="2" borderId="22" xfId="0" applyNumberFormat="1" applyFont="1" applyFill="1" applyBorder="1" applyAlignment="1" applyProtection="1">
      <alignment horizontal="center"/>
      <protection hidden="1"/>
    </xf>
    <xf numFmtId="1" fontId="3" fillId="2" borderId="29" xfId="0" applyNumberFormat="1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3" fontId="2" fillId="2" borderId="26" xfId="0" applyNumberFormat="1" applyFont="1" applyFill="1" applyBorder="1" applyAlignment="1" applyProtection="1">
      <alignment horizontal="left" vertical="center"/>
      <protection hidden="1"/>
    </xf>
    <xf numFmtId="2" fontId="3" fillId="2" borderId="27" xfId="0" applyNumberFormat="1" applyFont="1" applyFill="1" applyBorder="1" applyAlignment="1" applyProtection="1">
      <alignment horizontal="left" vertic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30" xfId="0" applyNumberFormat="1" applyFont="1" applyFill="1" applyBorder="1" applyAlignment="1" applyProtection="1">
      <alignment horizontal="center"/>
      <protection hidden="1"/>
    </xf>
    <xf numFmtId="1" fontId="3" fillId="2" borderId="11" xfId="0" applyNumberFormat="1" applyFont="1" applyFill="1" applyBorder="1" applyAlignment="1" applyProtection="1">
      <alignment horizontal="center"/>
      <protection hidden="1"/>
    </xf>
    <xf numFmtId="1" fontId="3" fillId="2" borderId="38" xfId="0" applyNumberFormat="1" applyFont="1" applyFill="1" applyBorder="1" applyAlignment="1" applyProtection="1">
      <alignment horizontal="center"/>
      <protection hidden="1"/>
    </xf>
    <xf numFmtId="2" fontId="3" fillId="2" borderId="22" xfId="0" applyNumberFormat="1" applyFont="1" applyFill="1" applyBorder="1" applyAlignment="1" applyProtection="1">
      <alignment horizontal="center"/>
      <protection hidden="1"/>
    </xf>
    <xf numFmtId="2" fontId="3" fillId="2" borderId="47" xfId="0" applyNumberFormat="1" applyFont="1" applyFill="1" applyBorder="1" applyAlignment="1" applyProtection="1">
      <alignment horizontal="center"/>
      <protection hidden="1"/>
    </xf>
    <xf numFmtId="0" fontId="3" fillId="0" borderId="15" xfId="0" applyFont="1" applyBorder="1" applyAlignment="1">
      <alignment horizontal="left"/>
    </xf>
    <xf numFmtId="164" fontId="3" fillId="3" borderId="54" xfId="0" applyNumberFormat="1" applyFont="1" applyFill="1" applyBorder="1" applyAlignment="1" applyProtection="1">
      <alignment horizontal="center"/>
      <protection locked="0"/>
    </xf>
    <xf numFmtId="164" fontId="3" fillId="2" borderId="54" xfId="0" applyNumberFormat="1" applyFont="1" applyFill="1" applyBorder="1" applyAlignment="1" applyProtection="1">
      <alignment horizontal="center"/>
      <protection hidden="1"/>
    </xf>
    <xf numFmtId="1" fontId="3" fillId="2" borderId="55" xfId="0" applyNumberFormat="1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/>
      <protection hidden="1"/>
    </xf>
    <xf numFmtId="164" fontId="3" fillId="2" borderId="3" xfId="0" applyNumberFormat="1" applyFont="1" applyFill="1" applyBorder="1" applyAlignment="1" applyProtection="1">
      <alignment horizontal="center"/>
      <protection hidden="1"/>
    </xf>
    <xf numFmtId="164" fontId="3" fillId="2" borderId="19" xfId="0" applyNumberFormat="1" applyFont="1" applyFill="1" applyBorder="1" applyAlignment="1" applyProtection="1">
      <alignment horizontal="center"/>
      <protection hidden="1"/>
    </xf>
    <xf numFmtId="164" fontId="3" fillId="2" borderId="20" xfId="0" applyNumberFormat="1" applyFont="1" applyFill="1" applyBorder="1" applyAlignment="1" applyProtection="1">
      <alignment horizontal="center"/>
      <protection hidden="1"/>
    </xf>
    <xf numFmtId="164" fontId="3" fillId="2" borderId="16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64" fontId="3" fillId="2" borderId="21" xfId="0" applyNumberFormat="1" applyFont="1" applyFill="1" applyBorder="1" applyAlignment="1" applyProtection="1">
      <alignment horizontal="center"/>
      <protection hidden="1"/>
    </xf>
    <xf numFmtId="0" fontId="3" fillId="0" borderId="3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2" borderId="25" xfId="0" applyNumberFormat="1" applyFont="1" applyFill="1" applyBorder="1" applyAlignment="1" applyProtection="1">
      <alignment horizontal="right" vertical="center"/>
      <protection hidden="1"/>
    </xf>
    <xf numFmtId="165" fontId="3" fillId="2" borderId="26" xfId="0" applyNumberFormat="1" applyFont="1" applyFill="1" applyBorder="1" applyAlignment="1" applyProtection="1">
      <alignment horizontal="right" vertical="center"/>
      <protection hidden="1"/>
    </xf>
    <xf numFmtId="0" fontId="3" fillId="6" borderId="15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1" xfId="0" applyFont="1" applyFill="1" applyBorder="1" applyAlignment="1">
      <alignment horizontal="left"/>
    </xf>
    <xf numFmtId="0" fontId="0" fillId="0" borderId="11" xfId="0" applyBorder="1"/>
    <xf numFmtId="0" fontId="3" fillId="0" borderId="11" xfId="0" applyFont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1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19</xdr:row>
      <xdr:rowOff>9523</xdr:rowOff>
    </xdr:from>
    <xdr:to>
      <xdr:col>18</xdr:col>
      <xdr:colOff>609599</xdr:colOff>
      <xdr:row>39</xdr:row>
      <xdr:rowOff>171450</xdr:rowOff>
    </xdr:to>
    <xdr:pic>
      <xdr:nvPicPr>
        <xdr:cNvPr id="5" name="Billede 4" descr="Image1.jpg"/>
        <xdr:cNvPicPr>
          <a:picLocks noChangeAspect="1"/>
        </xdr:cNvPicPr>
      </xdr:nvPicPr>
      <xdr:blipFill>
        <a:blip xmlns:r="http://schemas.openxmlformats.org/officeDocument/2006/relationships" r:embed="rId1"/>
        <a:srcRect l="4134" t="4953" r="3892" b="3673"/>
        <a:stretch>
          <a:fillRect/>
        </a:stretch>
      </xdr:blipFill>
      <xdr:spPr>
        <a:xfrm>
          <a:off x="7896225" y="3629023"/>
          <a:ext cx="5191124" cy="397192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575681</xdr:colOff>
      <xdr:row>14</xdr:row>
      <xdr:rowOff>120064</xdr:rowOff>
    </xdr:from>
    <xdr:to>
      <xdr:col>16</xdr:col>
      <xdr:colOff>81543</xdr:colOff>
      <xdr:row>17</xdr:row>
      <xdr:rowOff>110177</xdr:rowOff>
    </xdr:to>
    <xdr:pic>
      <xdr:nvPicPr>
        <xdr:cNvPr id="6" name="Billede 5" descr="logo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7231" y="2787064"/>
          <a:ext cx="2172862" cy="561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19049</xdr:rowOff>
    </xdr:from>
    <xdr:to>
      <xdr:col>13</xdr:col>
      <xdr:colOff>0</xdr:colOff>
      <xdr:row>34</xdr:row>
      <xdr:rowOff>178829</xdr:rowOff>
    </xdr:to>
    <xdr:pic>
      <xdr:nvPicPr>
        <xdr:cNvPr id="5" name="Billede 4" descr="Take-off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49"/>
          <a:ext cx="7924800" cy="6255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5358</xdr:rowOff>
    </xdr:from>
    <xdr:to>
      <xdr:col>13</xdr:col>
      <xdr:colOff>43814</xdr:colOff>
      <xdr:row>50</xdr:row>
      <xdr:rowOff>19050</xdr:rowOff>
    </xdr:to>
    <xdr:pic>
      <xdr:nvPicPr>
        <xdr:cNvPr id="6" name="Billede 5" descr="Landing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53858"/>
          <a:ext cx="7968614" cy="2490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rgb="FF00B0F0"/>
    <pageSetUpPr fitToPage="1"/>
  </sheetPr>
  <dimension ref="A1:Q42"/>
  <sheetViews>
    <sheetView tabSelected="1" workbookViewId="0">
      <selection activeCell="G20" sqref="G20"/>
    </sheetView>
  </sheetViews>
  <sheetFormatPr defaultRowHeight="15"/>
  <cols>
    <col min="1" max="1" width="17.7109375" customWidth="1"/>
    <col min="2" max="5" width="9.7109375" customWidth="1"/>
    <col min="6" max="6" width="10.7109375" customWidth="1"/>
    <col min="7" max="10" width="10.42578125" customWidth="1"/>
    <col min="12" max="12" width="10.7109375" customWidth="1"/>
    <col min="15" max="15" width="12.5703125" bestFit="1" customWidth="1"/>
  </cols>
  <sheetData>
    <row r="1" spans="1:17" ht="15" customHeight="1" thickBot="1">
      <c r="A1" s="110" t="s">
        <v>0</v>
      </c>
      <c r="B1" s="110"/>
      <c r="C1" s="110"/>
      <c r="D1" s="110"/>
      <c r="E1" s="110"/>
      <c r="F1" s="10"/>
      <c r="G1" s="110" t="s">
        <v>31</v>
      </c>
      <c r="H1" s="110"/>
      <c r="I1" s="110"/>
      <c r="J1" s="110"/>
      <c r="K1" s="110"/>
      <c r="L1" s="10"/>
      <c r="M1" s="10"/>
      <c r="N1" s="110" t="s">
        <v>65</v>
      </c>
      <c r="O1" s="110"/>
      <c r="P1" s="110"/>
      <c r="Q1" s="10"/>
    </row>
    <row r="2" spans="1:17" ht="15" customHeight="1" thickBot="1">
      <c r="A2" s="21"/>
      <c r="B2" s="108" t="s">
        <v>105</v>
      </c>
      <c r="C2" s="108"/>
      <c r="D2" s="108" t="s">
        <v>106</v>
      </c>
      <c r="E2" s="109"/>
      <c r="F2" s="10"/>
      <c r="G2" s="126" t="s">
        <v>53</v>
      </c>
      <c r="H2" s="127"/>
      <c r="I2" s="127"/>
      <c r="J2" s="127"/>
      <c r="K2" s="78">
        <v>404</v>
      </c>
      <c r="L2" s="10"/>
      <c r="M2" s="35" t="s">
        <v>75</v>
      </c>
      <c r="N2" s="46" t="s">
        <v>76</v>
      </c>
      <c r="O2" s="46"/>
      <c r="P2" s="47" t="s">
        <v>77</v>
      </c>
      <c r="Q2" s="30" t="s">
        <v>78</v>
      </c>
    </row>
    <row r="3" spans="1:17" ht="15" customHeight="1">
      <c r="A3" s="22" t="s">
        <v>1</v>
      </c>
      <c r="B3" s="111">
        <v>146</v>
      </c>
      <c r="C3" s="112"/>
      <c r="D3" s="111">
        <v>146</v>
      </c>
      <c r="E3" s="113"/>
      <c r="F3" s="10"/>
      <c r="G3" s="135" t="s">
        <v>54</v>
      </c>
      <c r="H3" s="143"/>
      <c r="I3" s="143"/>
      <c r="J3" s="136"/>
      <c r="K3" s="92">
        <f>SUM(K2+K4+K5+K6+K7+K8)*1.5*1.43</f>
        <v>866.57999999999993</v>
      </c>
      <c r="L3" s="10"/>
      <c r="M3" s="36"/>
      <c r="N3" s="33"/>
      <c r="O3" s="39" t="s">
        <v>66</v>
      </c>
      <c r="P3" s="40">
        <v>1.4</v>
      </c>
      <c r="Q3" s="34"/>
    </row>
    <row r="4" spans="1:17" ht="15" customHeight="1">
      <c r="A4" s="22" t="s">
        <v>2</v>
      </c>
      <c r="B4" s="111">
        <v>1009</v>
      </c>
      <c r="C4" s="112"/>
      <c r="D4" s="111">
        <v>1009</v>
      </c>
      <c r="E4" s="113"/>
      <c r="F4" s="10"/>
      <c r="G4" s="139" t="s">
        <v>32</v>
      </c>
      <c r="H4" s="144"/>
      <c r="I4" s="140"/>
      <c r="J4" s="28" t="s">
        <v>56</v>
      </c>
      <c r="K4" s="80"/>
      <c r="L4" s="10"/>
      <c r="M4" s="37"/>
      <c r="N4" s="32">
        <v>0</v>
      </c>
      <c r="O4" s="11" t="s">
        <v>67</v>
      </c>
      <c r="P4" s="41">
        <v>0</v>
      </c>
      <c r="Q4" s="57"/>
    </row>
    <row r="5" spans="1:17" ht="15" customHeight="1">
      <c r="A5" s="22" t="s">
        <v>3</v>
      </c>
      <c r="B5" s="114">
        <f>(1013-B4)*30+B3</f>
        <v>266</v>
      </c>
      <c r="C5" s="115"/>
      <c r="D5" s="114">
        <f>(1013-D4)*30+D3</f>
        <v>266</v>
      </c>
      <c r="E5" s="116"/>
      <c r="F5" s="10"/>
      <c r="G5" s="139" t="s">
        <v>33</v>
      </c>
      <c r="H5" s="144"/>
      <c r="I5" s="140"/>
      <c r="J5" s="28" t="s">
        <v>57</v>
      </c>
      <c r="K5" s="80"/>
      <c r="L5" s="10"/>
      <c r="M5" s="82">
        <v>75</v>
      </c>
      <c r="N5" s="84">
        <v>90</v>
      </c>
      <c r="O5" s="11" t="s">
        <v>68</v>
      </c>
      <c r="P5" s="86">
        <f>SUM(Q5/60)*N5</f>
        <v>15</v>
      </c>
      <c r="Q5" s="97">
        <f>VLOOKUP(M5,GLHR,2,0)</f>
        <v>10</v>
      </c>
    </row>
    <row r="6" spans="1:17" ht="15" customHeight="1">
      <c r="A6" s="22" t="s">
        <v>4</v>
      </c>
      <c r="B6" s="117"/>
      <c r="C6" s="119"/>
      <c r="D6" s="117"/>
      <c r="E6" s="118"/>
      <c r="F6" s="10"/>
      <c r="G6" s="139" t="s">
        <v>34</v>
      </c>
      <c r="H6" s="144"/>
      <c r="I6" s="140"/>
      <c r="J6" s="28" t="s">
        <v>56</v>
      </c>
      <c r="K6" s="80"/>
      <c r="L6" s="10"/>
      <c r="M6" s="82">
        <v>75</v>
      </c>
      <c r="N6" s="96">
        <f>N5*10%</f>
        <v>9</v>
      </c>
      <c r="O6" s="11" t="s">
        <v>69</v>
      </c>
      <c r="P6" s="86">
        <f>SUM(Q6/60)*N6</f>
        <v>1.5</v>
      </c>
      <c r="Q6" s="97">
        <f>VLOOKUP(M6,GLHR,2,0)</f>
        <v>10</v>
      </c>
    </row>
    <row r="7" spans="1:17" ht="15" customHeight="1">
      <c r="A7" s="22" t="s">
        <v>107</v>
      </c>
      <c r="B7" s="117"/>
      <c r="C7" s="119"/>
      <c r="D7" s="117"/>
      <c r="E7" s="118"/>
      <c r="F7" s="10"/>
      <c r="G7" s="139" t="s">
        <v>35</v>
      </c>
      <c r="H7" s="144"/>
      <c r="I7" s="140"/>
      <c r="J7" s="28" t="s">
        <v>58</v>
      </c>
      <c r="K7" s="80"/>
      <c r="L7" s="10"/>
      <c r="M7" s="82">
        <v>75</v>
      </c>
      <c r="N7" s="96">
        <v>45</v>
      </c>
      <c r="O7" s="11" t="s">
        <v>70</v>
      </c>
      <c r="P7" s="86">
        <f>SUM(Q7/60)*N7</f>
        <v>7.5</v>
      </c>
      <c r="Q7" s="97">
        <f>VLOOKUP(M7,GLHR,2,0)</f>
        <v>10</v>
      </c>
    </row>
    <row r="8" spans="1:17" ht="15" customHeight="1" thickBot="1">
      <c r="A8" s="22" t="s">
        <v>5</v>
      </c>
      <c r="B8" s="74">
        <v>180</v>
      </c>
      <c r="C8" s="74">
        <v>15</v>
      </c>
      <c r="D8" s="74">
        <v>180</v>
      </c>
      <c r="E8" s="75">
        <v>15</v>
      </c>
      <c r="F8" s="10"/>
      <c r="G8" s="139" t="s">
        <v>55</v>
      </c>
      <c r="H8" s="144"/>
      <c r="I8" s="140"/>
      <c r="J8" s="28" t="s">
        <v>59</v>
      </c>
      <c r="K8" s="80"/>
      <c r="L8" s="10"/>
      <c r="M8" s="83">
        <v>75</v>
      </c>
      <c r="N8" s="85">
        <v>30</v>
      </c>
      <c r="O8" s="42" t="s">
        <v>71</v>
      </c>
      <c r="P8" s="86">
        <f>SUM(Q8/60)*N8</f>
        <v>5</v>
      </c>
      <c r="Q8" s="107">
        <f>VLOOKUP(M8,GLHR,2,0)</f>
        <v>10</v>
      </c>
    </row>
    <row r="9" spans="1:17" ht="15" customHeight="1">
      <c r="A9" s="22" t="s">
        <v>82</v>
      </c>
      <c r="B9" s="111">
        <v>21</v>
      </c>
      <c r="C9" s="112"/>
      <c r="D9" s="111">
        <v>21</v>
      </c>
      <c r="E9" s="113"/>
      <c r="F9" s="10"/>
      <c r="G9" s="145" t="s">
        <v>36</v>
      </c>
      <c r="H9" s="146"/>
      <c r="I9" s="12" t="s">
        <v>37</v>
      </c>
      <c r="J9" s="12" t="s">
        <v>38</v>
      </c>
      <c r="K9" s="81"/>
      <c r="L9" s="10"/>
      <c r="M9" s="54"/>
      <c r="N9" s="98">
        <f>SUM(N4:N8)</f>
        <v>174</v>
      </c>
      <c r="O9" s="43" t="s">
        <v>72</v>
      </c>
      <c r="P9" s="101">
        <f>SUM(P3:P8)</f>
        <v>30.4</v>
      </c>
      <c r="Q9" s="45"/>
    </row>
    <row r="10" spans="1:17" ht="15" customHeight="1">
      <c r="A10" s="22" t="s">
        <v>109</v>
      </c>
      <c r="B10" s="120">
        <f>SIN(RADIANS(ABS(B8-B9*10)))*C8</f>
        <v>7.4999999999999991</v>
      </c>
      <c r="C10" s="121"/>
      <c r="D10" s="120">
        <f>SIN(RADIANS(ABS(D8-D9*10)))*E8</f>
        <v>7.4999999999999991</v>
      </c>
      <c r="E10" s="124"/>
      <c r="F10" s="10"/>
      <c r="G10" s="145" t="s">
        <v>39</v>
      </c>
      <c r="H10" s="146"/>
      <c r="I10" s="12" t="s">
        <v>40</v>
      </c>
      <c r="J10" s="27">
        <v>0</v>
      </c>
      <c r="K10" s="81"/>
      <c r="L10" s="10"/>
      <c r="M10" s="58">
        <v>55</v>
      </c>
      <c r="N10" s="99">
        <f>(P10/Q10)*60</f>
        <v>104.61538461538463</v>
      </c>
      <c r="O10" s="11" t="s">
        <v>73</v>
      </c>
      <c r="P10" s="86">
        <f>SUM(B16-P9)</f>
        <v>13.600000000000001</v>
      </c>
      <c r="Q10" s="57">
        <v>7.8</v>
      </c>
    </row>
    <row r="11" spans="1:17" ht="15" customHeight="1" thickBot="1">
      <c r="A11" s="23" t="s">
        <v>6</v>
      </c>
      <c r="B11" s="122">
        <f>COS(RADIANS(ABS(B8-B9*10)))*C8</f>
        <v>12.99038105676658</v>
      </c>
      <c r="C11" s="123"/>
      <c r="D11" s="122">
        <f>COS(RADIANS(ABS(D8-D9*10)))*E8</f>
        <v>12.99038105676658</v>
      </c>
      <c r="E11" s="134"/>
      <c r="F11" s="10"/>
      <c r="G11" s="145" t="s">
        <v>41</v>
      </c>
      <c r="H11" s="146"/>
      <c r="I11" s="12" t="s">
        <v>42</v>
      </c>
      <c r="J11" s="27">
        <v>0.25</v>
      </c>
      <c r="K11" s="80"/>
      <c r="L11" s="10"/>
      <c r="M11" s="38"/>
      <c r="N11" s="100">
        <f>SUM(N9:N10)</f>
        <v>278.61538461538464</v>
      </c>
      <c r="O11" s="44" t="s">
        <v>74</v>
      </c>
      <c r="P11" s="102">
        <f>P9+P10</f>
        <v>44</v>
      </c>
      <c r="Q11" s="31"/>
    </row>
    <row r="12" spans="1:17" ht="15" customHeight="1">
      <c r="A12" s="10"/>
      <c r="B12" s="10"/>
      <c r="C12" s="10"/>
      <c r="D12" s="10"/>
      <c r="E12" s="10"/>
      <c r="F12" s="10"/>
      <c r="G12" s="145" t="s">
        <v>43</v>
      </c>
      <c r="H12" s="146"/>
      <c r="I12" s="12" t="s">
        <v>44</v>
      </c>
      <c r="J12" s="27">
        <v>0.25</v>
      </c>
      <c r="K12" s="80"/>
      <c r="L12" s="10"/>
      <c r="M12" s="152" t="s">
        <v>79</v>
      </c>
      <c r="N12" s="152"/>
      <c r="O12" s="152"/>
      <c r="P12" s="152"/>
      <c r="Q12" s="152"/>
    </row>
    <row r="13" spans="1:17" ht="15" customHeight="1" thickBot="1">
      <c r="A13" s="110" t="s">
        <v>7</v>
      </c>
      <c r="B13" s="110"/>
      <c r="C13" s="110"/>
      <c r="D13" s="110"/>
      <c r="E13" s="110"/>
      <c r="F13" s="13"/>
      <c r="G13" s="145" t="s">
        <v>45</v>
      </c>
      <c r="H13" s="146"/>
      <c r="I13" s="12" t="s">
        <v>46</v>
      </c>
      <c r="J13" s="27">
        <v>0.5</v>
      </c>
      <c r="K13" s="80"/>
      <c r="L13" s="10"/>
      <c r="M13" s="153" t="s">
        <v>116</v>
      </c>
      <c r="N13" s="153"/>
      <c r="O13" s="153"/>
      <c r="P13" s="153"/>
      <c r="Q13" s="153"/>
    </row>
    <row r="14" spans="1:17" ht="15" customHeight="1">
      <c r="A14" s="126"/>
      <c r="B14" s="127"/>
      <c r="C14" s="24" t="s">
        <v>8</v>
      </c>
      <c r="D14" s="24" t="s">
        <v>9</v>
      </c>
      <c r="E14" s="25" t="s">
        <v>19</v>
      </c>
      <c r="F14" s="10"/>
      <c r="G14" s="145" t="s">
        <v>47</v>
      </c>
      <c r="H14" s="146"/>
      <c r="I14" s="12" t="s">
        <v>48</v>
      </c>
      <c r="J14" s="27">
        <v>0.5</v>
      </c>
      <c r="K14" s="80"/>
      <c r="L14" s="10"/>
      <c r="M14" s="147"/>
      <c r="N14" s="147"/>
      <c r="O14" s="147"/>
      <c r="P14" s="147"/>
      <c r="Q14" s="147"/>
    </row>
    <row r="15" spans="1:17" ht="15" customHeight="1">
      <c r="A15" s="22" t="s">
        <v>10</v>
      </c>
      <c r="B15" s="74" t="s">
        <v>110</v>
      </c>
      <c r="C15" s="86">
        <f>VLOOKUP(B15,AircraftData,2,0)</f>
        <v>1671</v>
      </c>
      <c r="D15" s="86">
        <f>VLOOKUP(B15,AircraftData,3,0)</f>
        <v>38.159999999999997</v>
      </c>
      <c r="E15" s="87">
        <f>C15*D15</f>
        <v>63765.359999999993</v>
      </c>
      <c r="F15" s="10"/>
      <c r="G15" s="130" t="s">
        <v>49</v>
      </c>
      <c r="H15" s="131"/>
      <c r="I15" s="131"/>
      <c r="J15" s="131"/>
      <c r="K15" s="87">
        <f>SUM(K4:K8)+K2</f>
        <v>404</v>
      </c>
      <c r="L15" s="10"/>
      <c r="M15" s="147"/>
      <c r="N15" s="147"/>
      <c r="O15" s="147"/>
      <c r="P15" s="147"/>
      <c r="Q15" s="147"/>
    </row>
    <row r="16" spans="1:17" ht="15" customHeight="1">
      <c r="A16" s="103" t="s">
        <v>112</v>
      </c>
      <c r="B16" s="74">
        <v>44</v>
      </c>
      <c r="C16" s="88">
        <f>B16*6-8.4</f>
        <v>255.6</v>
      </c>
      <c r="D16" s="88">
        <v>48</v>
      </c>
      <c r="E16" s="87">
        <f>C16*D16</f>
        <v>12268.8</v>
      </c>
      <c r="F16" s="10"/>
      <c r="G16" s="130" t="s">
        <v>50</v>
      </c>
      <c r="H16" s="131"/>
      <c r="I16" s="131"/>
      <c r="J16" s="131"/>
      <c r="K16" s="87">
        <f>K15*1.43</f>
        <v>577.72</v>
      </c>
      <c r="L16" s="10"/>
      <c r="M16" s="147"/>
      <c r="N16" s="147"/>
      <c r="O16" s="147"/>
      <c r="P16" s="147"/>
      <c r="Q16" s="147"/>
    </row>
    <row r="17" spans="1:17" ht="15" customHeight="1" thickBot="1">
      <c r="A17" s="130" t="s">
        <v>11</v>
      </c>
      <c r="B17" s="131"/>
      <c r="C17" s="76">
        <v>374</v>
      </c>
      <c r="D17" s="88">
        <v>37</v>
      </c>
      <c r="E17" s="87">
        <f t="shared" ref="E17:E20" si="0">C17*D17</f>
        <v>13838</v>
      </c>
      <c r="F17" s="10"/>
      <c r="G17" s="132" t="s">
        <v>51</v>
      </c>
      <c r="H17" s="133"/>
      <c r="I17" s="133"/>
      <c r="J17" s="133"/>
      <c r="K17" s="79">
        <v>1500</v>
      </c>
      <c r="L17" s="10"/>
      <c r="M17" s="147"/>
      <c r="N17" s="147"/>
      <c r="O17" s="147"/>
      <c r="P17" s="147"/>
      <c r="Q17" s="147"/>
    </row>
    <row r="18" spans="1:17" ht="15" customHeight="1">
      <c r="A18" s="130" t="s">
        <v>12</v>
      </c>
      <c r="B18" s="131"/>
      <c r="C18" s="76">
        <v>187</v>
      </c>
      <c r="D18" s="88">
        <v>73</v>
      </c>
      <c r="E18" s="87">
        <f t="shared" si="0"/>
        <v>13651</v>
      </c>
      <c r="F18" s="10"/>
      <c r="G18" s="10"/>
      <c r="H18" s="10"/>
      <c r="I18" s="10"/>
      <c r="J18" s="10"/>
      <c r="K18" s="10"/>
      <c r="L18" s="10"/>
      <c r="M18" s="147"/>
      <c r="N18" s="147"/>
      <c r="O18" s="147"/>
      <c r="P18" s="147"/>
      <c r="Q18" s="147"/>
    </row>
    <row r="19" spans="1:17" ht="15" customHeight="1">
      <c r="A19" s="135" t="s">
        <v>113</v>
      </c>
      <c r="B19" s="136"/>
      <c r="C19" s="104">
        <v>5</v>
      </c>
      <c r="D19" s="105">
        <v>95</v>
      </c>
      <c r="E19" s="106">
        <f>C19*D19</f>
        <v>475</v>
      </c>
      <c r="F19" s="10"/>
      <c r="G19" s="10"/>
      <c r="H19" s="10"/>
      <c r="I19" s="10"/>
      <c r="J19" s="10"/>
      <c r="K19" s="10"/>
      <c r="L19" s="10"/>
      <c r="M19" s="147"/>
      <c r="N19" s="147"/>
      <c r="O19" s="147"/>
      <c r="P19" s="147"/>
      <c r="Q19" s="147"/>
    </row>
    <row r="20" spans="1:17" ht="15" customHeight="1" thickBot="1">
      <c r="A20" s="132" t="s">
        <v>114</v>
      </c>
      <c r="B20" s="133"/>
      <c r="C20" s="77">
        <v>0</v>
      </c>
      <c r="D20" s="89">
        <v>115</v>
      </c>
      <c r="E20" s="90">
        <f t="shared" si="0"/>
        <v>0</v>
      </c>
      <c r="F20" s="10"/>
      <c r="G20" s="10"/>
      <c r="H20" s="10"/>
      <c r="I20" s="10"/>
      <c r="J20" s="10"/>
      <c r="K20" s="10"/>
      <c r="L20" s="10"/>
      <c r="M20" s="10"/>
    </row>
    <row r="21" spans="1:17" ht="15" customHeight="1" thickBot="1">
      <c r="A21" s="128" t="s">
        <v>115</v>
      </c>
      <c r="B21" s="129"/>
      <c r="C21" s="91">
        <f>SUM(C15:C20)</f>
        <v>2492.6</v>
      </c>
      <c r="D21" s="91">
        <f>E21/C21</f>
        <v>41.722763379603627</v>
      </c>
      <c r="E21" s="92">
        <f>SUM(E15:E20)</f>
        <v>103998.15999999999</v>
      </c>
      <c r="F21" s="10"/>
      <c r="G21" s="10"/>
      <c r="H21" s="10"/>
      <c r="I21" s="10"/>
      <c r="J21" s="10"/>
      <c r="K21" s="10"/>
      <c r="L21" s="10"/>
      <c r="M21" s="10"/>
    </row>
    <row r="22" spans="1:17" ht="15" customHeight="1">
      <c r="A22" s="130" t="s">
        <v>13</v>
      </c>
      <c r="B22" s="131"/>
      <c r="C22" s="88">
        <f>SUM(P3:P5)*6</f>
        <v>98.399999999999991</v>
      </c>
      <c r="D22" s="88">
        <v>48</v>
      </c>
      <c r="E22" s="93">
        <f>C22*D22</f>
        <v>4723.2</v>
      </c>
      <c r="F22" s="10"/>
      <c r="G22" s="59" t="s">
        <v>83</v>
      </c>
      <c r="H22" s="60" t="s">
        <v>84</v>
      </c>
      <c r="I22" s="61" t="s">
        <v>85</v>
      </c>
      <c r="J22" s="10"/>
      <c r="K22" s="10"/>
      <c r="L22" s="10"/>
      <c r="M22" s="10"/>
    </row>
    <row r="23" spans="1:17" ht="15" customHeight="1">
      <c r="A23" s="130" t="s">
        <v>108</v>
      </c>
      <c r="B23" s="131"/>
      <c r="C23" s="88">
        <f>SUM(C21-C22)</f>
        <v>2394.1999999999998</v>
      </c>
      <c r="D23" s="88">
        <f>E23/C23</f>
        <v>41.464773201904606</v>
      </c>
      <c r="E23" s="87">
        <f>E21-E22</f>
        <v>99274.959999999992</v>
      </c>
      <c r="F23" s="10"/>
      <c r="G23" s="62" t="s">
        <v>86</v>
      </c>
      <c r="H23" s="29" t="s">
        <v>84</v>
      </c>
      <c r="I23" s="63" t="s">
        <v>87</v>
      </c>
      <c r="J23" s="10"/>
      <c r="K23" s="10"/>
      <c r="L23" s="10"/>
      <c r="M23" s="10"/>
    </row>
    <row r="24" spans="1:17" ht="15" customHeight="1" thickBot="1">
      <c r="A24" s="132" t="s">
        <v>14</v>
      </c>
      <c r="B24" s="133"/>
      <c r="C24" s="89">
        <f>SUM(C21-C16)</f>
        <v>2237</v>
      </c>
      <c r="D24" s="89">
        <f>E24/C24</f>
        <v>41.005525257040674</v>
      </c>
      <c r="E24" s="90">
        <f>E21-E16</f>
        <v>91729.359999999986</v>
      </c>
      <c r="F24" s="10"/>
      <c r="G24" s="64" t="s">
        <v>88</v>
      </c>
      <c r="H24" s="65" t="s">
        <v>84</v>
      </c>
      <c r="I24" s="66" t="s">
        <v>89</v>
      </c>
      <c r="J24" s="10"/>
      <c r="K24" s="10"/>
      <c r="L24" s="10"/>
      <c r="M24" s="10"/>
    </row>
    <row r="25" spans="1:17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7" ht="15" customHeight="1" thickBot="1">
      <c r="A26" s="125" t="s">
        <v>20</v>
      </c>
      <c r="B26" s="125"/>
      <c r="C26" s="125"/>
      <c r="D26" s="125"/>
      <c r="E26" s="125"/>
      <c r="F26" s="10"/>
      <c r="G26" s="10"/>
      <c r="H26" s="10"/>
      <c r="I26" s="10"/>
      <c r="J26" s="10"/>
      <c r="K26" s="10"/>
      <c r="L26" s="10"/>
      <c r="M26" s="10"/>
    </row>
    <row r="27" spans="1:17" ht="15" customHeight="1" thickBot="1">
      <c r="A27" s="126" t="s">
        <v>52</v>
      </c>
      <c r="B27" s="127"/>
      <c r="C27" s="127"/>
      <c r="D27" s="127"/>
      <c r="E27" s="78">
        <v>455</v>
      </c>
      <c r="F27" s="10"/>
      <c r="G27" s="148" t="s">
        <v>90</v>
      </c>
      <c r="H27" s="149"/>
      <c r="I27" s="148" t="s">
        <v>91</v>
      </c>
      <c r="J27" s="150"/>
      <c r="K27" s="10"/>
      <c r="L27" s="10"/>
      <c r="M27" s="10"/>
    </row>
    <row r="28" spans="1:17" ht="15" customHeight="1">
      <c r="A28" s="135" t="s">
        <v>104</v>
      </c>
      <c r="B28" s="143"/>
      <c r="C28" s="143"/>
      <c r="D28" s="143"/>
      <c r="E28" s="151"/>
      <c r="F28" s="10"/>
      <c r="G28" s="67" t="s">
        <v>92</v>
      </c>
      <c r="H28" s="71" t="s">
        <v>93</v>
      </c>
      <c r="I28" s="67" t="s">
        <v>92</v>
      </c>
      <c r="J28" s="68" t="s">
        <v>94</v>
      </c>
      <c r="K28" s="10"/>
      <c r="L28" s="10"/>
      <c r="M28" s="10"/>
    </row>
    <row r="29" spans="1:17" ht="15" customHeight="1">
      <c r="A29" s="139" t="s">
        <v>26</v>
      </c>
      <c r="B29" s="140"/>
      <c r="C29" s="14" t="s">
        <v>58</v>
      </c>
      <c r="D29" s="18"/>
      <c r="E29" s="80"/>
      <c r="F29" s="10"/>
      <c r="G29" s="69" t="s">
        <v>95</v>
      </c>
      <c r="H29" s="72">
        <v>0.2</v>
      </c>
      <c r="I29" s="69" t="s">
        <v>95</v>
      </c>
      <c r="J29" s="55">
        <v>1</v>
      </c>
      <c r="K29" s="10"/>
      <c r="L29" s="10"/>
      <c r="M29" s="10"/>
    </row>
    <row r="30" spans="1:17" ht="15" customHeight="1">
      <c r="A30" s="141" t="s">
        <v>21</v>
      </c>
      <c r="B30" s="142"/>
      <c r="C30" s="14" t="s">
        <v>60</v>
      </c>
      <c r="D30" s="18"/>
      <c r="E30" s="80"/>
      <c r="F30" s="10"/>
      <c r="G30" s="69" t="s">
        <v>96</v>
      </c>
      <c r="H30" s="72">
        <v>0.4</v>
      </c>
      <c r="I30" s="69" t="s">
        <v>96</v>
      </c>
      <c r="J30" s="55">
        <v>0.9</v>
      </c>
      <c r="K30" s="10"/>
      <c r="L30" s="13"/>
      <c r="M30" s="10"/>
    </row>
    <row r="31" spans="1:17" ht="15" customHeight="1">
      <c r="A31" s="139" t="s">
        <v>27</v>
      </c>
      <c r="B31" s="140"/>
      <c r="C31" s="20" t="s">
        <v>61</v>
      </c>
      <c r="D31" s="16"/>
      <c r="E31" s="80"/>
      <c r="F31" s="10"/>
      <c r="G31" s="69" t="s">
        <v>97</v>
      </c>
      <c r="H31" s="72">
        <v>0.5</v>
      </c>
      <c r="I31" s="69" t="s">
        <v>97</v>
      </c>
      <c r="J31" s="55">
        <v>0.9</v>
      </c>
      <c r="K31" s="13"/>
      <c r="L31" s="15"/>
      <c r="M31" s="10"/>
    </row>
    <row r="32" spans="1:17" ht="15" customHeight="1">
      <c r="A32" s="26" t="s">
        <v>28</v>
      </c>
      <c r="B32" s="19"/>
      <c r="C32" s="20" t="s">
        <v>62</v>
      </c>
      <c r="D32" s="17"/>
      <c r="E32" s="80"/>
      <c r="F32" s="10"/>
      <c r="G32" s="69" t="s">
        <v>98</v>
      </c>
      <c r="H32" s="72">
        <v>0.7</v>
      </c>
      <c r="I32" s="69" t="s">
        <v>98</v>
      </c>
      <c r="J32" s="55">
        <v>0.8</v>
      </c>
      <c r="K32" s="15"/>
      <c r="L32" s="10"/>
      <c r="M32" s="10"/>
    </row>
    <row r="33" spans="1:13" ht="15" customHeight="1">
      <c r="A33" s="26" t="s">
        <v>29</v>
      </c>
      <c r="B33" s="19"/>
      <c r="C33" s="20" t="s">
        <v>63</v>
      </c>
      <c r="D33" s="17"/>
      <c r="E33" s="80"/>
      <c r="F33" s="10"/>
      <c r="G33" s="69" t="s">
        <v>99</v>
      </c>
      <c r="H33" s="72">
        <v>0.8</v>
      </c>
      <c r="I33" s="69" t="s">
        <v>99</v>
      </c>
      <c r="J33" s="55">
        <v>0.7</v>
      </c>
      <c r="K33" s="10"/>
      <c r="L33" s="10"/>
      <c r="M33" s="10"/>
    </row>
    <row r="34" spans="1:13" ht="15" customHeight="1">
      <c r="A34" s="26" t="s">
        <v>30</v>
      </c>
      <c r="B34" s="19"/>
      <c r="C34" s="20" t="s">
        <v>64</v>
      </c>
      <c r="D34" s="17"/>
      <c r="E34" s="80"/>
      <c r="F34" s="10"/>
      <c r="G34" s="69" t="s">
        <v>100</v>
      </c>
      <c r="H34" s="72">
        <v>0.9</v>
      </c>
      <c r="I34" s="69" t="s">
        <v>100</v>
      </c>
      <c r="J34" s="55">
        <v>0.5</v>
      </c>
      <c r="K34" s="10"/>
      <c r="L34" s="10"/>
      <c r="M34" s="10"/>
    </row>
    <row r="35" spans="1:13" ht="15" customHeight="1">
      <c r="A35" s="130" t="s">
        <v>22</v>
      </c>
      <c r="B35" s="131"/>
      <c r="C35" s="131"/>
      <c r="D35" s="131"/>
      <c r="E35" s="87">
        <f>SUM(E27:E34)</f>
        <v>455</v>
      </c>
      <c r="F35" s="10"/>
      <c r="G35" s="69" t="s">
        <v>101</v>
      </c>
      <c r="H35" s="72">
        <v>0.9</v>
      </c>
      <c r="I35" s="69" t="s">
        <v>101</v>
      </c>
      <c r="J35" s="55">
        <v>0.4</v>
      </c>
      <c r="K35" s="10"/>
      <c r="L35" s="10"/>
      <c r="M35" s="10"/>
    </row>
    <row r="36" spans="1:13" ht="15" customHeight="1">
      <c r="A36" s="130" t="s">
        <v>23</v>
      </c>
      <c r="B36" s="131"/>
      <c r="C36" s="131"/>
      <c r="D36" s="131"/>
      <c r="E36" s="87">
        <f>E35*1.25</f>
        <v>568.75</v>
      </c>
      <c r="F36" s="10"/>
      <c r="G36" s="69" t="s">
        <v>102</v>
      </c>
      <c r="H36" s="72">
        <v>0.9</v>
      </c>
      <c r="I36" s="69" t="s">
        <v>102</v>
      </c>
      <c r="J36" s="55">
        <v>0.2</v>
      </c>
      <c r="K36" s="10"/>
      <c r="L36" s="10"/>
      <c r="M36" s="10"/>
    </row>
    <row r="37" spans="1:13" ht="15" customHeight="1" thickBot="1">
      <c r="A37" s="132" t="s">
        <v>24</v>
      </c>
      <c r="B37" s="133"/>
      <c r="C37" s="133"/>
      <c r="D37" s="133"/>
      <c r="E37" s="79">
        <v>1500</v>
      </c>
      <c r="F37" s="10"/>
      <c r="G37" s="70" t="s">
        <v>103</v>
      </c>
      <c r="H37" s="73">
        <v>1</v>
      </c>
      <c r="I37" s="70" t="s">
        <v>103</v>
      </c>
      <c r="J37" s="56">
        <v>0</v>
      </c>
      <c r="K37" s="10"/>
      <c r="L37" s="10"/>
      <c r="M37" s="10"/>
    </row>
    <row r="38" spans="1:13" ht="1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5" customHeight="1" thickBot="1">
      <c r="A39" s="125" t="s">
        <v>25</v>
      </c>
      <c r="B39" s="125"/>
      <c r="C39" s="125"/>
      <c r="D39" s="125"/>
      <c r="E39" s="125"/>
      <c r="F39" s="10"/>
      <c r="G39" s="10"/>
      <c r="H39" s="10"/>
      <c r="I39" s="10"/>
      <c r="J39" s="10"/>
      <c r="K39" s="10"/>
      <c r="L39" s="10"/>
      <c r="M39" s="10"/>
    </row>
    <row r="40" spans="1:13" ht="15" customHeight="1" thickBot="1">
      <c r="A40" s="137" t="str">
        <f>"Va (LM) = 111 x √ ( "&amp;C23&amp;" / 2650 ) = "</f>
        <v xml:space="preserve">Va (LM) = 111 x √ ( 2394,2 / 2650 ) = </v>
      </c>
      <c r="B40" s="138"/>
      <c r="C40" s="138"/>
      <c r="D40" s="94">
        <f>111*SQRT(C23/2325)</f>
        <v>112.6397592097866</v>
      </c>
      <c r="E40" s="95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10"/>
      <c r="C41" s="10"/>
      <c r="D41" s="10"/>
      <c r="E41" s="10"/>
      <c r="G41" s="10"/>
      <c r="H41" s="10"/>
      <c r="I41" s="10"/>
      <c r="J41" s="10"/>
      <c r="K41" s="10"/>
    </row>
    <row r="42" spans="1:13">
      <c r="A42" s="10"/>
      <c r="B42" s="10"/>
      <c r="C42" s="10"/>
      <c r="D42" s="10"/>
      <c r="E42" s="10"/>
    </row>
  </sheetData>
  <sheetProtection password="EF47" sheet="1" objects="1" scenarios="1"/>
  <mergeCells count="63">
    <mergeCell ref="M14:Q19"/>
    <mergeCell ref="G27:H27"/>
    <mergeCell ref="I27:J27"/>
    <mergeCell ref="A28:E28"/>
    <mergeCell ref="N1:P1"/>
    <mergeCell ref="M12:Q12"/>
    <mergeCell ref="M13:Q13"/>
    <mergeCell ref="B9:C9"/>
    <mergeCell ref="D9:E9"/>
    <mergeCell ref="G16:J16"/>
    <mergeCell ref="G17:J17"/>
    <mergeCell ref="G1:K1"/>
    <mergeCell ref="G2:J2"/>
    <mergeCell ref="G4:I4"/>
    <mergeCell ref="G9:H9"/>
    <mergeCell ref="G15:J15"/>
    <mergeCell ref="G10:H10"/>
    <mergeCell ref="G11:H11"/>
    <mergeCell ref="G12:H12"/>
    <mergeCell ref="G13:H13"/>
    <mergeCell ref="G14:H14"/>
    <mergeCell ref="G3:J3"/>
    <mergeCell ref="G5:I5"/>
    <mergeCell ref="G6:I6"/>
    <mergeCell ref="G7:I7"/>
    <mergeCell ref="G8:I8"/>
    <mergeCell ref="A40:C40"/>
    <mergeCell ref="A39:E39"/>
    <mergeCell ref="A29:B29"/>
    <mergeCell ref="A30:B30"/>
    <mergeCell ref="A31:B31"/>
    <mergeCell ref="A35:D35"/>
    <mergeCell ref="A36:D36"/>
    <mergeCell ref="A37:D37"/>
    <mergeCell ref="B6:C6"/>
    <mergeCell ref="A26:E26"/>
    <mergeCell ref="A27:D27"/>
    <mergeCell ref="A21:B21"/>
    <mergeCell ref="A22:B22"/>
    <mergeCell ref="A23:B23"/>
    <mergeCell ref="A24:B24"/>
    <mergeCell ref="D11:E11"/>
    <mergeCell ref="A14:B14"/>
    <mergeCell ref="A17:B17"/>
    <mergeCell ref="A18:B18"/>
    <mergeCell ref="A20:B20"/>
    <mergeCell ref="A19:B19"/>
    <mergeCell ref="B2:C2"/>
    <mergeCell ref="D2:E2"/>
    <mergeCell ref="A1:E1"/>
    <mergeCell ref="A13:E13"/>
    <mergeCell ref="B3:C3"/>
    <mergeCell ref="D3:E3"/>
    <mergeCell ref="B4:C4"/>
    <mergeCell ref="D4:E4"/>
    <mergeCell ref="B5:C5"/>
    <mergeCell ref="D5:E5"/>
    <mergeCell ref="D6:E6"/>
    <mergeCell ref="B7:C7"/>
    <mergeCell ref="D7:E7"/>
    <mergeCell ref="B10:C10"/>
    <mergeCell ref="B11:C11"/>
    <mergeCell ref="D10:E10"/>
  </mergeCells>
  <conditionalFormatting sqref="E37">
    <cfRule type="iconSet" priority="3">
      <iconSet iconSet="3Flags">
        <cfvo type="percent" val="0"/>
        <cfvo type="percent" val="5" gte="0"/>
        <cfvo type="num" val="$E$36" gte="0"/>
      </iconSet>
    </cfRule>
  </conditionalFormatting>
  <conditionalFormatting sqref="K17">
    <cfRule type="iconSet" priority="4">
      <iconSet iconSet="3Flags">
        <cfvo type="percent" val="0"/>
        <cfvo type="percent" val="5" gte="0"/>
        <cfvo type="num" val="$K$16"/>
      </iconSet>
    </cfRule>
  </conditionalFormatting>
  <conditionalFormatting sqref="C21">
    <cfRule type="cellIs" dxfId="0" priority="1" operator="greaterThan">
      <formula>2650</formula>
    </cfRule>
  </conditionalFormatting>
  <dataValidations count="3">
    <dataValidation type="list" allowBlank="1" showInputMessage="1" showErrorMessage="1" sqref="B15">
      <formula1>Aircraft</formula1>
    </dataValidation>
    <dataValidation type="list" allowBlank="1" showInputMessage="1" showErrorMessage="1" sqref="B16">
      <formula1>Fuel</formula1>
    </dataValidation>
    <dataValidation type="list" allowBlank="1" showInputMessage="1" showErrorMessage="1" sqref="M5:M8">
      <formula1>PWR</formula1>
    </dataValidation>
  </dataValidations>
  <printOptions horizontalCentered="1"/>
  <pageMargins left="0.70866141732283472" right="0.70866141732283472" top="0.70866141732283472" bottom="0.70866141732283472" header="0" footer="0"/>
  <pageSetup paperSize="9" scale="63" orientation="landscape" horizontalDpi="0" verticalDpi="0" r:id="rId1"/>
  <ignoredErrors>
    <ignoredError sqref="C29:C30 J4:J8" numberStoredAsText="1"/>
    <ignoredError sqref="D21:E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rgb="FF00B0F0"/>
  </sheetPr>
  <dimension ref="A1:M37"/>
  <sheetViews>
    <sheetView topLeftCell="A22" workbookViewId="0">
      <selection activeCell="P27" sqref="P27"/>
    </sheetView>
  </sheetViews>
  <sheetFormatPr defaultRowHeight="15"/>
  <sheetData>
    <row r="1" spans="1:13">
      <c r="A1" s="155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>
      <c r="A2" s="154" t="s">
        <v>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6" spans="1:13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</row>
    <row r="37" spans="1:13">
      <c r="A37" s="154" t="s">
        <v>31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</sheetData>
  <mergeCells count="4">
    <mergeCell ref="A2:M2"/>
    <mergeCell ref="A37:M37"/>
    <mergeCell ref="A36:M36"/>
    <mergeCell ref="A1:M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rgb="FF00B0F0"/>
  </sheetPr>
  <dimension ref="A1:F9"/>
  <sheetViews>
    <sheetView workbookViewId="0">
      <selection activeCell="A8" sqref="A8"/>
    </sheetView>
  </sheetViews>
  <sheetFormatPr defaultRowHeight="15"/>
  <sheetData>
    <row r="1" spans="1:6" ht="15.75" thickBot="1"/>
    <row r="2" spans="1:6" ht="15.75" thickTop="1">
      <c r="A2" s="1" t="s">
        <v>15</v>
      </c>
      <c r="B2" s="2" t="s">
        <v>16</v>
      </c>
      <c r="C2" s="3" t="s">
        <v>17</v>
      </c>
      <c r="E2" s="48" t="s">
        <v>80</v>
      </c>
      <c r="F2" s="49" t="s">
        <v>78</v>
      </c>
    </row>
    <row r="3" spans="1:6">
      <c r="A3" s="4" t="s">
        <v>110</v>
      </c>
      <c r="B3" s="5">
        <v>1671</v>
      </c>
      <c r="C3" s="6">
        <v>38.159999999999997</v>
      </c>
      <c r="E3" s="50">
        <v>75</v>
      </c>
      <c r="F3" s="51">
        <v>10</v>
      </c>
    </row>
    <row r="4" spans="1:6">
      <c r="A4" s="4" t="s">
        <v>111</v>
      </c>
      <c r="B4" s="5">
        <v>1745</v>
      </c>
      <c r="C4" s="6">
        <v>39.07</v>
      </c>
      <c r="E4" s="50">
        <v>65</v>
      </c>
      <c r="F4" s="51">
        <v>8.8000000000000007</v>
      </c>
    </row>
    <row r="5" spans="1:6" ht="15.75" thickBot="1">
      <c r="E5" s="50">
        <v>55</v>
      </c>
      <c r="F5" s="51">
        <v>7.8</v>
      </c>
    </row>
    <row r="6" spans="1:6" ht="16.5" thickTop="1" thickBot="1">
      <c r="A6" s="1" t="s">
        <v>18</v>
      </c>
      <c r="B6" s="3" t="s">
        <v>16</v>
      </c>
      <c r="E6" s="52" t="s">
        <v>81</v>
      </c>
      <c r="F6" s="53">
        <v>10</v>
      </c>
    </row>
    <row r="7" spans="1:6" ht="15.75" thickTop="1">
      <c r="A7" s="4">
        <v>44</v>
      </c>
      <c r="B7" s="8">
        <f>A7*6</f>
        <v>264</v>
      </c>
    </row>
    <row r="8" spans="1:6" ht="15.75" thickBot="1">
      <c r="A8" s="7">
        <v>62</v>
      </c>
      <c r="B8" s="9">
        <f>A8*6</f>
        <v>372</v>
      </c>
    </row>
    <row r="9" spans="1:6" ht="15.75" thickTop="1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5</vt:i4>
      </vt:variant>
    </vt:vector>
  </HeadingPairs>
  <TitlesOfParts>
    <vt:vector size="8" baseType="lpstr">
      <vt:lpstr>Weight and Ballance</vt:lpstr>
      <vt:lpstr>Performance charts</vt:lpstr>
      <vt:lpstr>Data</vt:lpstr>
      <vt:lpstr>Aircraft</vt:lpstr>
      <vt:lpstr>AircraftData</vt:lpstr>
      <vt:lpstr>Fuel</vt:lpstr>
      <vt:lpstr>GLHR</vt:lpstr>
      <vt:lpstr>PWR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Vatslav Roudnitski</dc:creator>
  <cp:lastModifiedBy>Vatslav Roudnitski</cp:lastModifiedBy>
  <cp:lastPrinted>2015-06-02T05:55:19Z</cp:lastPrinted>
  <dcterms:created xsi:type="dcterms:W3CDTF">2014-01-10T08:15:32Z</dcterms:created>
  <dcterms:modified xsi:type="dcterms:W3CDTF">2015-06-02T06:04:50Z</dcterms:modified>
</cp:coreProperties>
</file>